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tatement" sheetId="1" state="visible" r:id="rId2"/>
    <sheet name="Batch + Fed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<sst xmlns="http://schemas.openxmlformats.org/spreadsheetml/2006/main" count="176" uniqueCount="131">
  <si>
    <t xml:space="preserve">Date</t>
  </si>
  <si>
    <t xml:space="preserve">Project Num</t>
  </si>
  <si>
    <t xml:space="preserve">Batch Num</t>
  </si>
  <si>
    <t xml:space="preserve">Strain</t>
  </si>
  <si>
    <t xml:space="preserve">Acceptor</t>
  </si>
  <si>
    <t xml:space="preserve">Unit</t>
  </si>
  <si>
    <t xml:space="preserve">Objective</t>
  </si>
  <si>
    <t xml:space="preserve">Antibiotic</t>
  </si>
  <si>
    <t xml:space="preserve">Reac. Vol.</t>
  </si>
  <si>
    <t xml:space="preserve">L</t>
  </si>
  <si>
    <t xml:space="preserve">C-source</t>
  </si>
  <si>
    <t xml:space="preserve">Settings</t>
  </si>
  <si>
    <t xml:space="preserve">Feeding:</t>
  </si>
  <si>
    <t xml:space="preserve">pH</t>
  </si>
  <si>
    <t xml:space="preserve">Dissolve O2</t>
  </si>
  <si>
    <t xml:space="preserve">C-source Concentration (g/l)</t>
  </si>
  <si>
    <t xml:space="preserve">Air flow (l/m)</t>
  </si>
  <si>
    <t xml:space="preserve">Stirring</t>
  </si>
  <si>
    <t xml:space="preserve">300 rpm</t>
  </si>
  <si>
    <t xml:space="preserve">Temp (Gr/Pr)</t>
  </si>
  <si>
    <t xml:space="preserve">33 / 28</t>
  </si>
  <si>
    <t xml:space="preserve">Flow rate 1 </t>
  </si>
  <si>
    <t xml:space="preserve">Flow rate 2</t>
  </si>
  <si>
    <t xml:space="preserve">ml/h</t>
  </si>
  <si>
    <t xml:space="preserve">Addings:</t>
  </si>
  <si>
    <t xml:space="preserve">Antifoam </t>
  </si>
  <si>
    <t xml:space="preserve">C-source </t>
  </si>
  <si>
    <t xml:space="preserve">More :</t>
  </si>
  <si>
    <t xml:space="preserve">MgSO4</t>
  </si>
  <si>
    <t xml:space="preserve">Inoculum volume</t>
  </si>
  <si>
    <t xml:space="preserve">Inoculum OD</t>
  </si>
  <si>
    <t xml:space="preserve">Date </t>
  </si>
  <si>
    <t xml:space="preserve">Hour </t>
  </si>
  <si>
    <t xml:space="preserve">Time [h]</t>
  </si>
  <si>
    <t xml:space="preserve">Sample</t>
  </si>
  <si>
    <t xml:space="preserve">OD600</t>
  </si>
  <si>
    <t xml:space="preserve">Dilution</t>
  </si>
  <si>
    <t xml:space="preserve">OD</t>
  </si>
  <si>
    <t xml:space="preserve">Epp[g]</t>
  </si>
  <si>
    <t xml:space="preserve">Epp+B[g]</t>
  </si>
  <si>
    <t xml:space="preserve">Epp+C[g]</t>
  </si>
  <si>
    <t xml:space="preserve">C. Count</t>
  </si>
  <si>
    <t xml:space="preserve">Balance [g]</t>
  </si>
  <si>
    <t xml:space="preserve">Comment</t>
  </si>
  <si>
    <t xml:space="preserve">Ion concentration </t>
  </si>
  <si>
    <t xml:space="preserve">Component</t>
  </si>
  <si>
    <t xml:space="preserve">Molecular weight</t>
  </si>
  <si>
    <t xml:space="preserve">g/mol</t>
  </si>
  <si>
    <t xml:space="preserve">Operator</t>
  </si>
  <si>
    <t xml:space="preserve">GG</t>
  </si>
  <si>
    <t xml:space="preserve">Batch Number</t>
  </si>
  <si>
    <t xml:space="preserve">Cation</t>
  </si>
  <si>
    <t xml:space="preserve">NH4+</t>
  </si>
  <si>
    <t xml:space="preserve">Na+</t>
  </si>
  <si>
    <t xml:space="preserve">K+</t>
  </si>
  <si>
    <t xml:space="preserve">Mg2+</t>
  </si>
  <si>
    <t xml:space="preserve">Fe3+</t>
  </si>
  <si>
    <t xml:space="preserve">Ca2+</t>
  </si>
  <si>
    <t xml:space="preserve">Ni2+</t>
  </si>
  <si>
    <t xml:space="preserve">Cu2+</t>
  </si>
  <si>
    <t xml:space="preserve">Ammonium ion</t>
  </si>
  <si>
    <t xml:space="preserve">g/L</t>
  </si>
  <si>
    <t xml:space="preserve">Na</t>
  </si>
  <si>
    <t xml:space="preserve">Batch preparation</t>
  </si>
  <si>
    <t xml:space="preserve">Volume </t>
  </si>
  <si>
    <t xml:space="preserve">MC1 medium</t>
  </si>
  <si>
    <t xml:space="preserve">mmol/L</t>
  </si>
  <si>
    <t xml:space="preserve">K</t>
  </si>
  <si>
    <t xml:space="preserve">Mg</t>
  </si>
  <si>
    <t xml:space="preserve">Compound name</t>
  </si>
  <si>
    <t xml:space="preserve">Formula</t>
  </si>
  <si>
    <t xml:space="preserve">xH2O</t>
  </si>
  <si>
    <t xml:space="preserve">M [g/mol]</t>
  </si>
  <si>
    <t xml:space="preserve">C (g/L) </t>
  </si>
  <si>
    <t xml:space="preserve">Weight</t>
  </si>
  <si>
    <t xml:space="preserve">Measured weight </t>
  </si>
  <si>
    <t xml:space="preserve">Add</t>
  </si>
  <si>
    <t xml:space="preserve">Anion </t>
  </si>
  <si>
    <t xml:space="preserve">SO4 2-</t>
  </si>
  <si>
    <t xml:space="preserve">PO4 3-</t>
  </si>
  <si>
    <t xml:space="preserve">CO3 2 -</t>
  </si>
  <si>
    <t xml:space="preserve">Cl-</t>
  </si>
  <si>
    <t xml:space="preserve">Citrate</t>
  </si>
  <si>
    <t xml:space="preserve">Fe</t>
  </si>
  <si>
    <t xml:space="preserve">Ammonium sulfate </t>
  </si>
  <si>
    <t xml:space="preserve">(NH4)2SO4</t>
  </si>
  <si>
    <t xml:space="preserve">g</t>
  </si>
  <si>
    <t xml:space="preserve">Ca</t>
  </si>
  <si>
    <t xml:space="preserve">Disodium hydrogen phosphate</t>
  </si>
  <si>
    <t xml:space="preserve">Na2HPO4</t>
  </si>
  <si>
    <t xml:space="preserve">mol/L</t>
  </si>
  <si>
    <t xml:space="preserve">Ni</t>
  </si>
  <si>
    <t xml:space="preserve">Potassium dihydrogen phosphate</t>
  </si>
  <si>
    <t xml:space="preserve">KH2PO4</t>
  </si>
  <si>
    <t xml:space="preserve">Cu</t>
  </si>
  <si>
    <t xml:space="preserve">Sodium hydrogen carbonate</t>
  </si>
  <si>
    <t xml:space="preserve">NaHCO3</t>
  </si>
  <si>
    <t xml:space="preserve">Carbon source </t>
  </si>
  <si>
    <t xml:space="preserve">Inorganic component</t>
  </si>
  <si>
    <t xml:space="preserve">Make QS at </t>
  </si>
  <si>
    <t xml:space="preserve">Autoclave (121°C, 20 min)</t>
  </si>
  <si>
    <t xml:space="preserve">Element</t>
  </si>
  <si>
    <t xml:space="preserve">C</t>
  </si>
  <si>
    <t xml:space="preserve">H</t>
  </si>
  <si>
    <t xml:space="preserve">O</t>
  </si>
  <si>
    <t xml:space="preserve">N</t>
  </si>
  <si>
    <t xml:space="preserve">P</t>
  </si>
  <si>
    <t xml:space="preserve">S</t>
  </si>
  <si>
    <t xml:space="preserve">So4</t>
  </si>
  <si>
    <t xml:space="preserve">Magnesium sulfate</t>
  </si>
  <si>
    <t xml:space="preserve">PO4</t>
  </si>
  <si>
    <t xml:space="preserve">Ammonium ferric citrate</t>
  </si>
  <si>
    <t xml:space="preserve">C6H8FeNO7</t>
  </si>
  <si>
    <t xml:space="preserve">mg</t>
  </si>
  <si>
    <t xml:space="preserve">CO3</t>
  </si>
  <si>
    <t xml:space="preserve">Calcium chloride</t>
  </si>
  <si>
    <t xml:space="preserve">CaCl2</t>
  </si>
  <si>
    <t xml:space="preserve">Nickel(II) sulfate</t>
  </si>
  <si>
    <t xml:space="preserve">NiSO4</t>
  </si>
  <si>
    <t xml:space="preserve">C/N ratio</t>
  </si>
  <si>
    <t xml:space="preserve">Copper(II) sulfate</t>
  </si>
  <si>
    <t xml:space="preserve">CuSO4</t>
  </si>
  <si>
    <t xml:space="preserve">C/P ratio</t>
  </si>
  <si>
    <t xml:space="preserve">Make QS at with warm water</t>
  </si>
  <si>
    <t xml:space="preserve">ml</t>
  </si>
  <si>
    <t xml:space="preserve">C/S ratio</t>
  </si>
  <si>
    <t xml:space="preserve">Fructose</t>
  </si>
  <si>
    <t xml:space="preserve">C6H12O6</t>
  </si>
  <si>
    <t xml:space="preserve">Fed preparation</t>
  </si>
  <si>
    <t xml:space="preserve"> Formula</t>
  </si>
  <si>
    <t xml:space="preserve">Sterilize acceptor alone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</si>
</sst>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%"/>
    <numFmt numFmtId="167" formatCode="[$£]#,##0.00;[RED]\-[$£]#,##0.00"/>
    <numFmt numFmtId="168" formatCode="0.0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u val="single"/>
      <sz val="11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2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FF0000"/>
      <name val="Calibri"/>
      <family val="0"/>
      <charset val="1"/>
    </font>
    <font>
      <sz val="11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EEE"/>
        <bgColor rgb="FFFFFFCC"/>
      </patternFill>
    </fill>
    <fill>
      <patternFill patternType="solid">
        <fgColor rgb="FF66FFFF"/>
        <bgColor rgb="FF33CC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outlineLevelRow="0" outlineLevelCol="0"/>
  <cols>
    <col collapsed="false" customWidth="true" hidden="false" outlineLevel="0" max="2" min="1" style="0" width="10.42"/>
    <col collapsed="false" customWidth="true" hidden="false" outlineLevel="0" max="3" min="3" style="0" width="9.13"/>
    <col collapsed="false" customWidth="true" hidden="false" outlineLevel="0" max="4" min="4" style="0" width="9.59"/>
    <col collapsed="false" customWidth="true" hidden="false" outlineLevel="0" max="5" min="5" style="0" width="12.14"/>
    <col collapsed="false" customWidth="true" hidden="false" outlineLevel="0" max="6" min="6" style="0" width="7.71"/>
    <col collapsed="false" customWidth="true" hidden="false" outlineLevel="0" max="7" min="7" style="0" width="8.33"/>
    <col collapsed="false" customWidth="true" hidden="false" outlineLevel="0" max="8" min="8" style="0" width="9.29"/>
    <col collapsed="false" customWidth="true" hidden="false" outlineLevel="0" max="9" min="9" style="0" width="8.29"/>
    <col collapsed="false" customWidth="true" hidden="false" outlineLevel="0" max="10" min="10" style="0" width="10.71"/>
    <col collapsed="false" customWidth="true" hidden="false" outlineLevel="0" max="11" min="11" style="0" width="8.14"/>
    <col collapsed="false" customWidth="true" hidden="false" outlineLevel="0" max="12" min="12" style="0" width="10.58"/>
    <col collapsed="false" customWidth="true" hidden="false" outlineLevel="0" max="13" min="13" style="0" width="8.29"/>
    <col collapsed="false" customWidth="true" hidden="false" outlineLevel="0" max="14" min="14" style="0" width="8"/>
    <col collapsed="false" customWidth="true" hidden="false" outlineLevel="0" max="1025" min="15" style="0" width="9.13"/>
  </cols>
  <sheetData>
    <row r="1" customFormat="false" ht="13.8" hidden="false" customHeight="false" outlineLevel="0" collapsed="false">
      <c r="A1" s="1" t="s">
        <v>0</v>
      </c>
      <c r="B1" s="2"/>
      <c r="C1" s="3"/>
      <c r="D1" s="4" t="s">
        <v>1</v>
      </c>
      <c r="E1" s="5"/>
      <c r="F1" s="3"/>
      <c r="G1" s="6" t="s">
        <v>2</v>
      </c>
      <c r="H1" s="7"/>
      <c r="I1" s="7"/>
      <c r="J1" s="8"/>
      <c r="K1" s="9" t="s">
        <v>3</v>
      </c>
      <c r="L1" s="5"/>
      <c r="M1" s="5"/>
      <c r="N1" s="5"/>
      <c r="O1" s="10"/>
    </row>
    <row r="2" customFormat="false" ht="13.8" hidden="false" customHeight="false" outlineLevel="0" collapsed="false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0"/>
    </row>
    <row r="3" customFormat="false" ht="13.8" hidden="false" customHeight="false" outlineLevel="0" collapsed="false">
      <c r="A3" s="14" t="s">
        <v>4</v>
      </c>
      <c r="B3" s="5"/>
      <c r="C3" s="5"/>
      <c r="D3" s="15" t="s">
        <v>5</v>
      </c>
      <c r="E3" s="5"/>
      <c r="F3" s="12"/>
      <c r="G3" s="16" t="s">
        <v>6</v>
      </c>
      <c r="H3" s="17"/>
      <c r="I3" s="17"/>
      <c r="J3" s="17"/>
      <c r="K3" s="17"/>
      <c r="L3" s="17"/>
      <c r="M3" s="17"/>
      <c r="N3" s="17"/>
      <c r="O3" s="10"/>
    </row>
    <row r="4" customFormat="false" ht="13.8" hidden="false" customHeight="false" outlineLevel="0" collapsed="false">
      <c r="A4" s="14" t="s">
        <v>7</v>
      </c>
      <c r="B4" s="18"/>
      <c r="C4" s="12"/>
      <c r="D4" s="15" t="s">
        <v>8</v>
      </c>
      <c r="E4" s="5"/>
      <c r="F4" s="12" t="s">
        <v>9</v>
      </c>
      <c r="G4" s="12"/>
      <c r="H4" s="17"/>
      <c r="I4" s="17"/>
      <c r="J4" s="17"/>
      <c r="K4" s="17"/>
      <c r="L4" s="17"/>
      <c r="M4" s="17"/>
      <c r="N4" s="17"/>
      <c r="O4" s="10"/>
    </row>
    <row r="5" customFormat="false" ht="13.8" hidden="false" customHeight="false" outlineLevel="0" collapsed="false">
      <c r="A5" s="19" t="s">
        <v>10</v>
      </c>
      <c r="B5" s="5"/>
      <c r="C5" s="5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10"/>
    </row>
    <row r="6" customFormat="false" ht="13.8" hidden="false" customHeight="false" outlineLevel="0" collapsed="false">
      <c r="A6" s="22" t="s">
        <v>11</v>
      </c>
      <c r="B6" s="23"/>
      <c r="C6" s="23"/>
      <c r="D6" s="23"/>
      <c r="E6" s="23"/>
      <c r="F6" s="23"/>
      <c r="G6" s="23"/>
      <c r="H6" s="24"/>
      <c r="I6" s="25" t="s">
        <v>12</v>
      </c>
      <c r="J6" s="23"/>
      <c r="K6" s="23"/>
      <c r="L6" s="23"/>
      <c r="M6" s="23"/>
      <c r="N6" s="24"/>
      <c r="O6" s="10"/>
    </row>
    <row r="7" customFormat="false" ht="13.8" hidden="false" customHeight="false" outlineLevel="0" collapsed="false">
      <c r="A7" s="11"/>
      <c r="B7" s="8"/>
      <c r="C7" s="15" t="s">
        <v>13</v>
      </c>
      <c r="D7" s="5" t="n">
        <v>6.8</v>
      </c>
      <c r="E7" s="15" t="s">
        <v>14</v>
      </c>
      <c r="F7" s="26" t="n">
        <v>0.2</v>
      </c>
      <c r="G7" s="26"/>
      <c r="H7" s="13"/>
      <c r="I7" s="11"/>
      <c r="J7" s="12" t="s">
        <v>15</v>
      </c>
      <c r="K7" s="12"/>
      <c r="L7" s="12"/>
      <c r="M7" s="5" t="n">
        <v>500</v>
      </c>
      <c r="N7" s="13"/>
      <c r="O7" s="10"/>
    </row>
    <row r="8" customFormat="false" ht="13.8" hidden="false" customHeight="false" outlineLevel="0" collapsed="false">
      <c r="A8" s="11"/>
      <c r="B8" s="8"/>
      <c r="C8" s="8"/>
      <c r="D8" s="8"/>
      <c r="E8" s="15"/>
      <c r="F8" s="8"/>
      <c r="G8" s="8"/>
      <c r="H8" s="27"/>
      <c r="I8" s="28"/>
      <c r="J8" s="8"/>
      <c r="K8" s="8"/>
      <c r="L8" s="8"/>
      <c r="M8" s="12"/>
      <c r="N8" s="13"/>
      <c r="O8" s="10"/>
    </row>
    <row r="9" customFormat="false" ht="13.8" hidden="false" customHeight="false" outlineLevel="0" collapsed="false">
      <c r="A9" s="29" t="s">
        <v>16</v>
      </c>
      <c r="B9" s="5" t="n">
        <f aca="false">E4</f>
        <v>0</v>
      </c>
      <c r="C9" s="15" t="s">
        <v>17</v>
      </c>
      <c r="D9" s="5" t="s">
        <v>18</v>
      </c>
      <c r="E9" s="15" t="s">
        <v>19</v>
      </c>
      <c r="F9" s="5" t="s">
        <v>20</v>
      </c>
      <c r="G9" s="5"/>
      <c r="H9" s="13"/>
      <c r="I9" s="11"/>
      <c r="J9" s="8" t="s">
        <v>21</v>
      </c>
      <c r="K9" s="5" t="n">
        <f aca="false">(($E$4*4.5)/$M$7)*1000</f>
        <v>0</v>
      </c>
      <c r="L9" s="8" t="s">
        <v>22</v>
      </c>
      <c r="M9" s="5" t="n">
        <f aca="false">(($E$4*3)/$M$7)*1000</f>
        <v>0</v>
      </c>
      <c r="N9" s="13"/>
      <c r="O9" s="10"/>
    </row>
    <row r="10" customFormat="false" ht="13.8" hidden="false" customHeight="false" outlineLevel="0" collapsed="false">
      <c r="A10" s="30"/>
      <c r="B10" s="20"/>
      <c r="C10" s="20"/>
      <c r="D10" s="20"/>
      <c r="E10" s="20"/>
      <c r="F10" s="20"/>
      <c r="G10" s="20"/>
      <c r="H10" s="21"/>
      <c r="I10" s="30"/>
      <c r="J10" s="20" t="s">
        <v>23</v>
      </c>
      <c r="K10" s="20"/>
      <c r="L10" s="20" t="s">
        <v>23</v>
      </c>
      <c r="M10" s="20"/>
      <c r="N10" s="21"/>
      <c r="O10" s="10"/>
    </row>
    <row r="11" customFormat="false" ht="13.8" hidden="false" customHeight="false" outlineLevel="0" collapsed="false">
      <c r="A11" s="22" t="s">
        <v>24</v>
      </c>
      <c r="B11" s="23"/>
      <c r="C11" s="23" t="s">
        <v>25</v>
      </c>
      <c r="D11" s="23"/>
      <c r="E11" s="23" t="s">
        <v>26</v>
      </c>
      <c r="F11" s="23"/>
      <c r="G11" s="23" t="s">
        <v>7</v>
      </c>
      <c r="H11" s="23"/>
      <c r="I11" s="31" t="s">
        <v>27</v>
      </c>
      <c r="J11" s="31"/>
      <c r="K11" s="31"/>
      <c r="L11" s="31"/>
      <c r="M11" s="31"/>
      <c r="N11" s="31"/>
      <c r="O11" s="10"/>
    </row>
    <row r="12" customFormat="false" ht="13.8" hidden="false" customHeight="false" outlineLevel="0" collapsed="false">
      <c r="A12" s="11"/>
      <c r="B12" s="12"/>
      <c r="C12" s="12"/>
      <c r="D12" s="12"/>
      <c r="E12" s="12" t="s">
        <v>28</v>
      </c>
      <c r="F12" s="12"/>
      <c r="G12" s="12"/>
      <c r="H12" s="12"/>
      <c r="I12" s="31"/>
      <c r="J12" s="31"/>
      <c r="K12" s="31"/>
      <c r="L12" s="31"/>
      <c r="M12" s="31"/>
      <c r="N12" s="31"/>
      <c r="O12" s="10"/>
    </row>
    <row r="13" customFormat="false" ht="13.8" hidden="false" customHeight="false" outlineLevel="0" collapsed="false">
      <c r="A13" s="32" t="s">
        <v>29</v>
      </c>
      <c r="B13" s="32"/>
      <c r="C13" s="33"/>
      <c r="D13" s="20"/>
      <c r="E13" s="20"/>
      <c r="F13" s="20"/>
      <c r="G13" s="20"/>
      <c r="H13" s="20"/>
      <c r="I13" s="31"/>
      <c r="J13" s="31"/>
      <c r="K13" s="31"/>
      <c r="L13" s="31"/>
      <c r="M13" s="31"/>
      <c r="N13" s="31"/>
      <c r="O13" s="10"/>
    </row>
    <row r="14" customFormat="false" ht="13.8" hidden="false" customHeight="false" outlineLevel="0" collapsed="false">
      <c r="A14" s="34" t="s">
        <v>30</v>
      </c>
      <c r="B14" s="34"/>
      <c r="C14" s="3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0"/>
    </row>
    <row r="15" customFormat="false" ht="19.7" hidden="false" customHeight="true" outlineLevel="0" collapsed="false">
      <c r="A15" s="36" t="s">
        <v>31</v>
      </c>
      <c r="B15" s="37" t="s">
        <v>32</v>
      </c>
      <c r="C15" s="38" t="s">
        <v>33</v>
      </c>
      <c r="D15" s="39" t="s">
        <v>34</v>
      </c>
      <c r="E15" s="36" t="s">
        <v>35</v>
      </c>
      <c r="F15" s="37" t="s">
        <v>36</v>
      </c>
      <c r="G15" s="37" t="s">
        <v>37</v>
      </c>
      <c r="H15" s="37" t="s">
        <v>38</v>
      </c>
      <c r="I15" s="37" t="s">
        <v>39</v>
      </c>
      <c r="J15" s="37" t="s">
        <v>40</v>
      </c>
      <c r="K15" s="37" t="s">
        <v>41</v>
      </c>
      <c r="L15" s="37" t="s">
        <v>42</v>
      </c>
      <c r="M15" s="38" t="s">
        <v>43</v>
      </c>
      <c r="N15" s="38"/>
      <c r="O15" s="10"/>
    </row>
    <row r="16" customFormat="false" ht="19.7" hidden="false" customHeight="true" outlineLevel="0" collapsed="false">
      <c r="A16" s="40"/>
      <c r="B16" s="41"/>
      <c r="C16" s="42"/>
      <c r="D16" s="43"/>
      <c r="E16" s="40"/>
      <c r="F16" s="44"/>
      <c r="G16" s="44"/>
      <c r="H16" s="44"/>
      <c r="I16" s="44"/>
      <c r="J16" s="44"/>
      <c r="K16" s="44"/>
      <c r="L16" s="44"/>
      <c r="M16" s="45"/>
      <c r="N16" s="45"/>
      <c r="O16" s="10"/>
    </row>
    <row r="17" customFormat="false" ht="19.7" hidden="false" customHeight="true" outlineLevel="0" collapsed="false">
      <c r="A17" s="46"/>
      <c r="B17" s="47"/>
      <c r="C17" s="48"/>
      <c r="D17" s="49"/>
      <c r="E17" s="46"/>
      <c r="F17" s="47"/>
      <c r="G17" s="47"/>
      <c r="H17" s="47"/>
      <c r="I17" s="47"/>
      <c r="J17" s="47"/>
      <c r="K17" s="47"/>
      <c r="L17" s="47"/>
      <c r="M17" s="48"/>
      <c r="N17" s="48"/>
      <c r="O17" s="10"/>
    </row>
    <row r="18" customFormat="false" ht="19.7" hidden="false" customHeight="true" outlineLevel="0" collapsed="false">
      <c r="A18" s="46"/>
      <c r="B18" s="47"/>
      <c r="C18" s="48"/>
      <c r="D18" s="49"/>
      <c r="E18" s="46"/>
      <c r="F18" s="47"/>
      <c r="G18" s="47"/>
      <c r="H18" s="47"/>
      <c r="I18" s="47"/>
      <c r="J18" s="47"/>
      <c r="K18" s="47"/>
      <c r="L18" s="47"/>
      <c r="M18" s="48"/>
      <c r="N18" s="48"/>
      <c r="O18" s="10"/>
    </row>
    <row r="19" customFormat="false" ht="19.7" hidden="false" customHeight="true" outlineLevel="0" collapsed="false">
      <c r="A19" s="46"/>
      <c r="B19" s="47"/>
      <c r="C19" s="48"/>
      <c r="D19" s="49"/>
      <c r="E19" s="46"/>
      <c r="F19" s="47"/>
      <c r="G19" s="47"/>
      <c r="H19" s="47"/>
      <c r="I19" s="47"/>
      <c r="J19" s="47"/>
      <c r="K19" s="47"/>
      <c r="L19" s="47"/>
      <c r="M19" s="48"/>
      <c r="N19" s="48"/>
      <c r="O19" s="10"/>
    </row>
    <row r="20" customFormat="false" ht="19.7" hidden="false" customHeight="true" outlineLevel="0" collapsed="false">
      <c r="A20" s="46"/>
      <c r="B20" s="47"/>
      <c r="C20" s="48"/>
      <c r="D20" s="49"/>
      <c r="E20" s="46"/>
      <c r="F20" s="47"/>
      <c r="G20" s="47"/>
      <c r="H20" s="47"/>
      <c r="I20" s="47"/>
      <c r="J20" s="47"/>
      <c r="K20" s="47"/>
      <c r="L20" s="47"/>
      <c r="M20" s="48"/>
      <c r="N20" s="48"/>
      <c r="O20" s="10"/>
    </row>
    <row r="21" customFormat="false" ht="19.7" hidden="false" customHeight="true" outlineLevel="0" collapsed="false">
      <c r="A21" s="46"/>
      <c r="B21" s="47"/>
      <c r="C21" s="48"/>
      <c r="D21" s="49"/>
      <c r="E21" s="46"/>
      <c r="F21" s="47"/>
      <c r="G21" s="47"/>
      <c r="H21" s="47"/>
      <c r="I21" s="47"/>
      <c r="J21" s="47"/>
      <c r="K21" s="47"/>
      <c r="L21" s="47"/>
      <c r="M21" s="48"/>
      <c r="N21" s="48"/>
      <c r="O21" s="10"/>
    </row>
    <row r="22" customFormat="false" ht="19.7" hidden="false" customHeight="true" outlineLevel="0" collapsed="false">
      <c r="A22" s="46"/>
      <c r="B22" s="47"/>
      <c r="C22" s="48"/>
      <c r="D22" s="49"/>
      <c r="E22" s="46"/>
      <c r="F22" s="47"/>
      <c r="G22" s="47"/>
      <c r="H22" s="47"/>
      <c r="I22" s="47"/>
      <c r="J22" s="47"/>
      <c r="K22" s="47"/>
      <c r="L22" s="47"/>
      <c r="M22" s="48"/>
      <c r="N22" s="48"/>
      <c r="O22" s="10"/>
    </row>
    <row r="23" customFormat="false" ht="19.7" hidden="false" customHeight="true" outlineLevel="0" collapsed="false">
      <c r="A23" s="46"/>
      <c r="B23" s="47"/>
      <c r="C23" s="48"/>
      <c r="D23" s="49"/>
      <c r="E23" s="46"/>
      <c r="F23" s="47"/>
      <c r="G23" s="47"/>
      <c r="H23" s="47"/>
      <c r="I23" s="47"/>
      <c r="J23" s="47"/>
      <c r="K23" s="47"/>
      <c r="L23" s="47"/>
      <c r="M23" s="48"/>
      <c r="N23" s="48"/>
      <c r="O23" s="10"/>
    </row>
    <row r="24" customFormat="false" ht="19.7" hidden="false" customHeight="true" outlineLevel="0" collapsed="false">
      <c r="A24" s="46"/>
      <c r="B24" s="47"/>
      <c r="C24" s="48"/>
      <c r="D24" s="49"/>
      <c r="E24" s="46"/>
      <c r="F24" s="47"/>
      <c r="G24" s="47"/>
      <c r="H24" s="47"/>
      <c r="I24" s="47"/>
      <c r="J24" s="47"/>
      <c r="K24" s="47"/>
      <c r="L24" s="47"/>
      <c r="M24" s="48"/>
      <c r="N24" s="48"/>
      <c r="O24" s="10"/>
    </row>
    <row r="25" customFormat="false" ht="19.7" hidden="false" customHeight="true" outlineLevel="0" collapsed="false">
      <c r="A25" s="46"/>
      <c r="B25" s="47"/>
      <c r="C25" s="48"/>
      <c r="D25" s="49"/>
      <c r="E25" s="46"/>
      <c r="F25" s="47"/>
      <c r="G25" s="47"/>
      <c r="H25" s="47"/>
      <c r="I25" s="47"/>
      <c r="J25" s="47"/>
      <c r="K25" s="47"/>
      <c r="L25" s="47"/>
      <c r="M25" s="48"/>
      <c r="N25" s="48"/>
      <c r="O25" s="10"/>
    </row>
    <row r="26" customFormat="false" ht="19.7" hidden="false" customHeight="true" outlineLevel="0" collapsed="false">
      <c r="A26" s="46"/>
      <c r="B26" s="47"/>
      <c r="C26" s="48"/>
      <c r="D26" s="49"/>
      <c r="E26" s="46"/>
      <c r="F26" s="47"/>
      <c r="G26" s="47"/>
      <c r="H26" s="47"/>
      <c r="I26" s="47"/>
      <c r="J26" s="47"/>
      <c r="K26" s="47"/>
      <c r="L26" s="47"/>
      <c r="M26" s="48"/>
      <c r="N26" s="48"/>
      <c r="O26" s="10"/>
    </row>
    <row r="27" customFormat="false" ht="19.7" hidden="false" customHeight="true" outlineLevel="0" collapsed="false">
      <c r="A27" s="46"/>
      <c r="B27" s="47"/>
      <c r="C27" s="48"/>
      <c r="D27" s="49"/>
      <c r="E27" s="46"/>
      <c r="F27" s="47"/>
      <c r="G27" s="47"/>
      <c r="H27" s="47"/>
      <c r="I27" s="47"/>
      <c r="J27" s="47"/>
      <c r="K27" s="47"/>
      <c r="L27" s="47"/>
      <c r="M27" s="48"/>
      <c r="N27" s="48"/>
      <c r="O27" s="10"/>
    </row>
    <row r="28" customFormat="false" ht="19.5" hidden="false" customHeight="true" outlineLevel="0" collapsed="false">
      <c r="A28" s="46"/>
      <c r="B28" s="47"/>
      <c r="C28" s="48"/>
      <c r="D28" s="49"/>
      <c r="E28" s="46"/>
      <c r="F28" s="47"/>
      <c r="G28" s="47"/>
      <c r="H28" s="47"/>
      <c r="I28" s="47"/>
      <c r="J28" s="47"/>
      <c r="K28" s="47"/>
      <c r="L28" s="47"/>
      <c r="M28" s="48"/>
      <c r="N28" s="48"/>
      <c r="O28" s="10"/>
    </row>
    <row r="29" customFormat="false" ht="19.7" hidden="false" customHeight="true" outlineLevel="0" collapsed="false">
      <c r="A29" s="46"/>
      <c r="B29" s="47"/>
      <c r="C29" s="48"/>
      <c r="D29" s="49"/>
      <c r="E29" s="46"/>
      <c r="F29" s="47"/>
      <c r="G29" s="47"/>
      <c r="H29" s="47"/>
      <c r="I29" s="47"/>
      <c r="J29" s="47"/>
      <c r="K29" s="47"/>
      <c r="L29" s="47"/>
      <c r="M29" s="48"/>
      <c r="N29" s="48"/>
    </row>
    <row r="30" customFormat="false" ht="19.7" hidden="false" customHeight="true" outlineLevel="0" collapsed="false">
      <c r="A30" s="50"/>
      <c r="B30" s="51"/>
      <c r="C30" s="52"/>
      <c r="D30" s="53"/>
      <c r="E30" s="50"/>
      <c r="F30" s="54"/>
      <c r="G30" s="54"/>
      <c r="H30" s="51"/>
      <c r="I30" s="51"/>
      <c r="J30" s="51"/>
      <c r="K30" s="51"/>
      <c r="L30" s="51"/>
      <c r="M30" s="52"/>
      <c r="N30" s="52"/>
    </row>
  </sheetData>
  <mergeCells count="27">
    <mergeCell ref="H1:I1"/>
    <mergeCell ref="L1:N1"/>
    <mergeCell ref="B3:C3"/>
    <mergeCell ref="H3:N4"/>
    <mergeCell ref="B5:C5"/>
    <mergeCell ref="F7:G7"/>
    <mergeCell ref="F9:G9"/>
    <mergeCell ref="I11:N13"/>
    <mergeCell ref="A13:B13"/>
    <mergeCell ref="A14:B14"/>
    <mergeCell ref="D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</mergeCells>
  <printOptions headings="false" gridLines="false" gridLinesSet="true" horizontalCentered="false" verticalCentered="false"/>
  <pageMargins left="0.7" right="0.7" top="0.75" bottom="0.229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RowHeight="13.8" outlineLevelRow="0" outlineLevelCol="0"/>
  <cols>
    <col collapsed="false" customWidth="true" hidden="false" outlineLevel="0" max="1" min="1" style="0" width="34.86"/>
    <col collapsed="false" customWidth="true" hidden="false" outlineLevel="0" max="2" min="2" style="0" width="13.68"/>
    <col collapsed="false" customWidth="true" hidden="false" outlineLevel="0" max="3" min="3" style="0" width="9.87"/>
    <col collapsed="false" customWidth="true" hidden="false" outlineLevel="0" max="4" min="4" style="0" width="10.01"/>
    <col collapsed="false" customWidth="true" hidden="false" outlineLevel="0" max="5" min="5" style="0" width="8.6"/>
    <col collapsed="false" customWidth="true" hidden="false" outlineLevel="0" max="6" min="6" style="0" width="9.73"/>
    <col collapsed="false" customWidth="true" hidden="false" outlineLevel="0" max="7" min="7" style="0" width="5.7"/>
    <col collapsed="false" customWidth="true" hidden="false" outlineLevel="0" max="8" min="8" style="0" width="15.8"/>
    <col collapsed="false" customWidth="true" hidden="false" outlineLevel="0" max="9" min="9" style="0" width="15.71"/>
    <col collapsed="false" customWidth="true" hidden="false" outlineLevel="0" max="10" min="10" style="0" width="4.57"/>
    <col collapsed="false" customWidth="true" hidden="false" outlineLevel="0" max="12" min="11" style="0" width="8.67"/>
    <col collapsed="false" customWidth="true" hidden="false" outlineLevel="0" max="13" min="13" style="0" width="9.87"/>
    <col collapsed="false" customWidth="true" hidden="false" outlineLevel="0" max="17" min="14" style="0" width="8.67"/>
    <col collapsed="false" customWidth="true" hidden="false" outlineLevel="0" max="18" min="18" style="0" width="9.87"/>
    <col collapsed="false" customWidth="true" hidden="false" outlineLevel="0" max="22" min="19" style="0" width="8.67"/>
    <col collapsed="false" customWidth="true" hidden="false" outlineLevel="0" max="23" min="23" style="0" width="14.81"/>
    <col collapsed="false" customWidth="true" hidden="false" outlineLevel="0" max="24" min="24" style="0" width="8.67"/>
    <col collapsed="false" customWidth="true" hidden="false" outlineLevel="0" max="25" min="25" style="0" width="16.49"/>
    <col collapsed="false" customWidth="true" hidden="false" outlineLevel="0" max="1025" min="26" style="0" width="8.67"/>
  </cols>
  <sheetData>
    <row r="1" customFormat="false" ht="13.8" hidden="false" customHeight="false" outlineLevel="0" collapsed="false">
      <c r="A1" s="55"/>
      <c r="B1" s="3"/>
      <c r="C1" s="3"/>
      <c r="D1" s="3"/>
      <c r="E1" s="3"/>
      <c r="F1" s="3"/>
      <c r="G1" s="3"/>
      <c r="H1" s="3"/>
      <c r="I1" s="3"/>
      <c r="J1" s="56"/>
      <c r="M1" s="57" t="s">
        <v>44</v>
      </c>
      <c r="N1" s="57"/>
      <c r="W1" s="58" t="s">
        <v>45</v>
      </c>
      <c r="X1" s="58"/>
      <c r="Y1" s="58" t="s">
        <v>46</v>
      </c>
      <c r="Z1" s="59" t="s">
        <v>47</v>
      </c>
    </row>
    <row r="2" customFormat="false" ht="15" hidden="false" customHeight="false" outlineLevel="0" collapsed="false">
      <c r="A2" s="60" t="s">
        <v>31</v>
      </c>
      <c r="B2" s="2"/>
      <c r="C2" s="61" t="s">
        <v>48</v>
      </c>
      <c r="D2" s="61"/>
      <c r="E2" s="5" t="s">
        <v>49</v>
      </c>
      <c r="F2" s="61" t="s">
        <v>50</v>
      </c>
      <c r="G2" s="61"/>
      <c r="H2" s="61"/>
      <c r="I2" s="5"/>
      <c r="J2" s="27"/>
      <c r="L2" s="62" t="s">
        <v>51</v>
      </c>
      <c r="M2" s="62" t="s">
        <v>52</v>
      </c>
      <c r="N2" s="62" t="s">
        <v>53</v>
      </c>
      <c r="O2" s="62" t="s">
        <v>54</v>
      </c>
      <c r="P2" s="62" t="s">
        <v>55</v>
      </c>
      <c r="Q2" s="62" t="s">
        <v>56</v>
      </c>
      <c r="R2" s="62" t="s">
        <v>57</v>
      </c>
      <c r="S2" s="62" t="s">
        <v>58</v>
      </c>
      <c r="T2" s="62" t="s">
        <v>59</v>
      </c>
      <c r="W2" s="0" t="s">
        <v>60</v>
      </c>
      <c r="Y2" s="0" t="n">
        <v>18.039</v>
      </c>
    </row>
    <row r="3" customFormat="false" ht="13.8" hidden="false" customHeight="false" outlineLevel="0" collapsed="false">
      <c r="A3" s="28"/>
      <c r="B3" s="8"/>
      <c r="C3" s="8"/>
      <c r="D3" s="8"/>
      <c r="E3" s="8"/>
      <c r="F3" s="8"/>
      <c r="G3" s="8"/>
      <c r="H3" s="8"/>
      <c r="I3" s="8"/>
      <c r="J3" s="27"/>
      <c r="L3" s="0" t="s">
        <v>61</v>
      </c>
      <c r="M3" s="0" t="n">
        <f aca="false">(E7*2*Y2)/D7</f>
        <v>0.273028606023914</v>
      </c>
      <c r="N3" s="0" t="n">
        <f aca="false">((2*Y3*E8)/D8)+((E10*Y3)/D10)</f>
        <v>1.27046302659713</v>
      </c>
      <c r="O3" s="0" t="n">
        <f aca="false">(F9*Y4)/D9</f>
        <v>0.430958731978308</v>
      </c>
      <c r="P3" s="0" t="n">
        <f aca="false">(E12*Y5)/D12</f>
        <v>0.0403851585996045</v>
      </c>
      <c r="Q3" s="0" t="n">
        <f aca="false">(E13*Y6)/D13</f>
        <v>0.0010658256355447</v>
      </c>
      <c r="R3" s="0" t="n">
        <f aca="false">(E14*Y7)/D14</f>
        <v>0.0036112813119481</v>
      </c>
      <c r="S3" s="0" t="n">
        <f aca="false">(E15*Y8)/D15</f>
        <v>0.00379278836833603</v>
      </c>
      <c r="T3" s="0" t="n">
        <f aca="false">(E16*Y9)/D16</f>
        <v>0.00398135443490029</v>
      </c>
      <c r="W3" s="0" t="s">
        <v>62</v>
      </c>
      <c r="Y3" s="0" t="n">
        <v>22.99</v>
      </c>
    </row>
    <row r="4" customFormat="false" ht="17.35" hidden="false" customHeight="false" outlineLevel="0" collapsed="false">
      <c r="A4" s="28"/>
      <c r="B4" s="63" t="s">
        <v>63</v>
      </c>
      <c r="C4" s="63"/>
      <c r="D4" s="63"/>
      <c r="E4" s="8"/>
      <c r="F4" s="8" t="s">
        <v>64</v>
      </c>
      <c r="G4" s="64" t="n">
        <v>1</v>
      </c>
      <c r="H4" s="15" t="s">
        <v>9</v>
      </c>
      <c r="I4" s="8" t="s">
        <v>65</v>
      </c>
      <c r="J4" s="27"/>
      <c r="L4" s="0" t="s">
        <v>66</v>
      </c>
      <c r="M4" s="0" t="n">
        <f aca="false">M3/Y2*1000</f>
        <v>15.135462388376</v>
      </c>
      <c r="N4" s="0" t="n">
        <f aca="false">N3/Y3*1000</f>
        <v>55.2615496562475</v>
      </c>
      <c r="O4" s="0" t="n">
        <f aca="false">O3/Y4*1000</f>
        <v>11.0224416912835</v>
      </c>
      <c r="P4" s="0" t="n">
        <f aca="false">P3/Y5*1000</f>
        <v>1.66159879035608</v>
      </c>
      <c r="Q4" s="0" t="n">
        <f aca="false">Q3/Y6*1000</f>
        <v>0.0190854263684251</v>
      </c>
      <c r="R4" s="0" t="n">
        <f aca="false">R3/Y7*1000</f>
        <v>0.0901063254640476</v>
      </c>
      <c r="S4" s="0" t="n">
        <f aca="false">S3/Y8*1000</f>
        <v>0.0646203554119548</v>
      </c>
      <c r="T4" s="0" t="n">
        <f aca="false">T3/Y9*1000</f>
        <v>0.0626531085339799</v>
      </c>
      <c r="W4" s="0" t="s">
        <v>67</v>
      </c>
      <c r="Y4" s="0" t="n">
        <v>39.0983</v>
      </c>
    </row>
    <row r="5" customFormat="false" ht="13.8" hidden="false" customHeight="false" outlineLevel="0" collapsed="false">
      <c r="A5" s="65"/>
      <c r="B5" s="66"/>
      <c r="C5" s="66"/>
      <c r="D5" s="66"/>
      <c r="E5" s="66"/>
      <c r="F5" s="66"/>
      <c r="G5" s="66"/>
      <c r="H5" s="66"/>
      <c r="I5" s="66"/>
      <c r="J5" s="67"/>
      <c r="W5" s="0" t="s">
        <v>68</v>
      </c>
      <c r="Y5" s="0" t="n">
        <v>24.305</v>
      </c>
    </row>
    <row r="6" customFormat="false" ht="13.8" hidden="false" customHeight="false" outlineLevel="0" collapsed="false">
      <c r="A6" s="68" t="s">
        <v>69</v>
      </c>
      <c r="B6" s="69" t="s">
        <v>70</v>
      </c>
      <c r="C6" s="69" t="s">
        <v>71</v>
      </c>
      <c r="D6" s="69" t="s">
        <v>72</v>
      </c>
      <c r="E6" s="69" t="s">
        <v>73</v>
      </c>
      <c r="F6" s="69" t="s">
        <v>74</v>
      </c>
      <c r="G6" s="69" t="s">
        <v>5</v>
      </c>
      <c r="H6" s="69" t="s">
        <v>75</v>
      </c>
      <c r="I6" s="69" t="s">
        <v>50</v>
      </c>
      <c r="J6" s="70" t="s">
        <v>76</v>
      </c>
      <c r="L6" s="62" t="s">
        <v>77</v>
      </c>
      <c r="M6" s="62" t="s">
        <v>78</v>
      </c>
      <c r="N6" s="62" t="s">
        <v>79</v>
      </c>
      <c r="O6" s="62" t="s">
        <v>80</v>
      </c>
      <c r="P6" s="62" t="s">
        <v>81</v>
      </c>
      <c r="Q6" s="62" t="s">
        <v>82</v>
      </c>
      <c r="W6" s="0" t="s">
        <v>83</v>
      </c>
      <c r="Y6" s="0" t="n">
        <v>55.845</v>
      </c>
    </row>
    <row r="7" customFormat="false" ht="13.8" hidden="false" customHeight="false" outlineLevel="0" collapsed="false">
      <c r="A7" s="71" t="s">
        <v>84</v>
      </c>
      <c r="B7" s="44" t="s">
        <v>85</v>
      </c>
      <c r="C7" s="44" t="n">
        <v>0</v>
      </c>
      <c r="D7" s="44" t="n">
        <v>132.14</v>
      </c>
      <c r="E7" s="44" t="n">
        <v>1</v>
      </c>
      <c r="F7" s="72" t="n">
        <v>1</v>
      </c>
      <c r="G7" s="73" t="s">
        <v>86</v>
      </c>
      <c r="H7" s="44"/>
      <c r="I7" s="44"/>
      <c r="J7" s="45"/>
      <c r="L7" s="0" t="s">
        <v>61</v>
      </c>
      <c r="M7" s="0" t="n">
        <f aca="false">(E7*Y11)/D7</f>
        <v>0.726956258513698</v>
      </c>
      <c r="N7" s="0" t="n">
        <f aca="false">((E8*Y12)/D8)+((E9*Y12)/D9)</f>
        <v>3.38832066361273</v>
      </c>
      <c r="O7" s="0" t="n">
        <f aca="false">(E10*Y13)/D10</f>
        <v>0.36311259775971</v>
      </c>
      <c r="P7" s="0" t="n">
        <f aca="false">(E14*Y14)/D14</f>
        <v>0.00319453955667688</v>
      </c>
      <c r="Q7" s="0" t="n">
        <f aca="false">(E13*Y15)/D13</f>
        <v>0.00360905412626918</v>
      </c>
      <c r="W7" s="0" t="s">
        <v>87</v>
      </c>
      <c r="Y7" s="0" t="n">
        <v>40.078</v>
      </c>
    </row>
    <row r="8" customFormat="false" ht="13.8" hidden="false" customHeight="false" outlineLevel="0" collapsed="false">
      <c r="A8" s="71" t="s">
        <v>88</v>
      </c>
      <c r="B8" s="44" t="s">
        <v>89</v>
      </c>
      <c r="C8" s="44" t="n">
        <v>12</v>
      </c>
      <c r="D8" s="44" t="n">
        <v>141.96</v>
      </c>
      <c r="E8" s="44" t="n">
        <v>3.5</v>
      </c>
      <c r="F8" s="72" t="n">
        <f aca="false">($G$4*E8)*((D8+(C8*18.01528))/D8)</f>
        <v>8.82996449704142</v>
      </c>
      <c r="G8" s="73" t="s">
        <v>86</v>
      </c>
      <c r="H8" s="44"/>
      <c r="I8" s="44"/>
      <c r="J8" s="45"/>
      <c r="L8" s="0" t="s">
        <v>90</v>
      </c>
      <c r="M8" s="0" t="n">
        <f aca="false">M7/Y11*1000</f>
        <v>7.56773119418798</v>
      </c>
      <c r="N8" s="0" t="n">
        <f aca="false">N7/Y12*1000</f>
        <v>35.6772740384235</v>
      </c>
      <c r="O8" s="0" t="n">
        <f aca="false">O7/Y13*1000</f>
        <v>5.95188496196746</v>
      </c>
      <c r="P8" s="0" t="n">
        <f aca="false">P7/Y14*1000</f>
        <v>0.0901063254640476</v>
      </c>
      <c r="Q8" s="0" t="n">
        <f aca="false">Q7/Y15*1000</f>
        <v>0.0190854263684251</v>
      </c>
      <c r="W8" s="0" t="s">
        <v>91</v>
      </c>
      <c r="Y8" s="0" t="n">
        <v>58.6934</v>
      </c>
    </row>
    <row r="9" customFormat="false" ht="13.8" hidden="false" customHeight="false" outlineLevel="0" collapsed="false">
      <c r="A9" s="71" t="s">
        <v>92</v>
      </c>
      <c r="B9" s="44" t="s">
        <v>93</v>
      </c>
      <c r="C9" s="44" t="n">
        <v>0</v>
      </c>
      <c r="D9" s="44" t="n">
        <v>136.086</v>
      </c>
      <c r="E9" s="44" t="n">
        <v>1.5</v>
      </c>
      <c r="F9" s="72" t="n">
        <f aca="false">($G$4*E9)*((D9+(C9*18.01528))/D9)</f>
        <v>1.5</v>
      </c>
      <c r="G9" s="73" t="s">
        <v>86</v>
      </c>
      <c r="H9" s="44"/>
      <c r="I9" s="44"/>
      <c r="J9" s="45"/>
      <c r="W9" s="0" t="s">
        <v>94</v>
      </c>
      <c r="Y9" s="0" t="n">
        <v>63.546</v>
      </c>
    </row>
    <row r="10" customFormat="false" ht="13.8" hidden="false" customHeight="false" outlineLevel="0" collapsed="false">
      <c r="A10" s="71" t="s">
        <v>95</v>
      </c>
      <c r="B10" s="44" t="s">
        <v>96</v>
      </c>
      <c r="C10" s="44" t="n">
        <v>0</v>
      </c>
      <c r="D10" s="44" t="n">
        <v>84.007</v>
      </c>
      <c r="E10" s="44" t="n">
        <v>0.5</v>
      </c>
      <c r="F10" s="72" t="n">
        <f aca="false">($G$4*E10)*((D10+(C10*18.01528))/D10)</f>
        <v>0.5</v>
      </c>
      <c r="G10" s="73" t="s">
        <v>86</v>
      </c>
      <c r="H10" s="44"/>
      <c r="I10" s="44"/>
      <c r="J10" s="45"/>
      <c r="M10" s="57" t="s">
        <v>97</v>
      </c>
      <c r="N10" s="57"/>
      <c r="Q10" s="74" t="s">
        <v>98</v>
      </c>
      <c r="R10" s="74"/>
    </row>
    <row r="11" customFormat="false" ht="13.8" hidden="false" customHeight="false" outlineLevel="0" collapsed="false">
      <c r="A11" s="75" t="s">
        <v>99</v>
      </c>
      <c r="B11" s="75"/>
      <c r="C11" s="75"/>
      <c r="D11" s="75"/>
      <c r="E11" s="76" t="n">
        <f aca="false">$G$4*0.8</f>
        <v>0.8</v>
      </c>
      <c r="F11" s="77" t="s">
        <v>9</v>
      </c>
      <c r="G11" s="78" t="s">
        <v>100</v>
      </c>
      <c r="H11" s="78"/>
      <c r="I11" s="78"/>
      <c r="J11" s="78"/>
      <c r="L11" s="62" t="s">
        <v>101</v>
      </c>
      <c r="M11" s="62" t="s">
        <v>102</v>
      </c>
      <c r="N11" s="62" t="s">
        <v>103</v>
      </c>
      <c r="O11" s="62" t="s">
        <v>104</v>
      </c>
      <c r="Q11" s="62" t="s">
        <v>105</v>
      </c>
      <c r="R11" s="62" t="s">
        <v>106</v>
      </c>
      <c r="S11" s="62" t="s">
        <v>107</v>
      </c>
      <c r="T11" s="79" t="s">
        <v>102</v>
      </c>
      <c r="W11" s="0" t="s">
        <v>108</v>
      </c>
      <c r="Y11" s="0" t="n">
        <v>96.06</v>
      </c>
    </row>
    <row r="12" customFormat="false" ht="13.8" hidden="false" customHeight="false" outlineLevel="0" collapsed="false">
      <c r="A12" s="71" t="s">
        <v>109</v>
      </c>
      <c r="B12" s="44" t="s">
        <v>28</v>
      </c>
      <c r="C12" s="44" t="n">
        <v>7</v>
      </c>
      <c r="D12" s="44" t="n">
        <v>120.366</v>
      </c>
      <c r="E12" s="44" t="n">
        <v>0.2</v>
      </c>
      <c r="F12" s="72" t="n">
        <f aca="false">($G$4*E12)*((D12+(C12*18.01528))/D12)</f>
        <v>0.409539172191483</v>
      </c>
      <c r="G12" s="44" t="s">
        <v>86</v>
      </c>
      <c r="H12" s="45"/>
      <c r="I12" s="45"/>
      <c r="J12" s="45"/>
      <c r="L12" s="0" t="s">
        <v>61</v>
      </c>
      <c r="M12" s="0" t="n">
        <f aca="false">(E18*6*Y17)/D18</f>
        <v>4.00001110124334</v>
      </c>
      <c r="N12" s="0" t="n">
        <f aca="false">(E18*12*Y18)/D18</f>
        <v>0.671296625222025</v>
      </c>
      <c r="O12" s="0" t="n">
        <f aca="false">(E18*Y19*6)/D18</f>
        <v>5.32826376554174</v>
      </c>
      <c r="Q12" s="0" t="n">
        <f aca="false">(E7*2*Y20)/D7</f>
        <v>0.211997881035266</v>
      </c>
      <c r="R12" s="0" t="n">
        <f aca="false">((E8*Y21)/D8)+((E9*Y21)/D9)</f>
        <v>1.10505935919763</v>
      </c>
      <c r="S12" s="0" t="n">
        <f aca="false">(E7*Y22)/D7</f>
        <v>0.242659300741638</v>
      </c>
      <c r="T12" s="0" t="n">
        <f aca="false">(E10*Y17)/D10</f>
        <v>0.0714863047127025</v>
      </c>
      <c r="W12" s="0" t="s">
        <v>110</v>
      </c>
      <c r="Y12" s="0" t="n">
        <v>94.9714</v>
      </c>
    </row>
    <row r="13" customFormat="false" ht="13.8" hidden="false" customHeight="false" outlineLevel="0" collapsed="false">
      <c r="A13" s="71" t="s">
        <v>111</v>
      </c>
      <c r="B13" s="44" t="s">
        <v>112</v>
      </c>
      <c r="C13" s="44" t="n">
        <v>2</v>
      </c>
      <c r="D13" s="44" t="n">
        <v>261.98</v>
      </c>
      <c r="E13" s="44" t="n">
        <v>0.005</v>
      </c>
      <c r="F13" s="72" t="n">
        <f aca="false">(($G$4*E13)*((D13+(C13*18.01528))/D13))*1000</f>
        <v>5.68765859989312</v>
      </c>
      <c r="G13" s="44" t="s">
        <v>113</v>
      </c>
      <c r="H13" s="44"/>
      <c r="I13" s="44"/>
      <c r="J13" s="45"/>
      <c r="L13" s="0" t="s">
        <v>66</v>
      </c>
      <c r="M13" s="0" t="n">
        <f aca="false">M12/Y17*1000</f>
        <v>333.03730017762</v>
      </c>
      <c r="N13" s="0" t="n">
        <f aca="false">N12/Y18*1000</f>
        <v>666.07460035524</v>
      </c>
      <c r="O13" s="0" t="n">
        <f aca="false">O12/Y19*1000</f>
        <v>333.03730017762</v>
      </c>
      <c r="W13" s="0" t="s">
        <v>114</v>
      </c>
      <c r="Y13" s="0" t="n">
        <v>61.008</v>
      </c>
    </row>
    <row r="14" customFormat="false" ht="13.8" hidden="false" customHeight="false" outlineLevel="0" collapsed="false">
      <c r="A14" s="71" t="s">
        <v>115</v>
      </c>
      <c r="B14" s="44" t="s">
        <v>116</v>
      </c>
      <c r="C14" s="44" t="n">
        <v>2</v>
      </c>
      <c r="D14" s="44" t="n">
        <v>110.98</v>
      </c>
      <c r="E14" s="44" t="n">
        <v>0.01</v>
      </c>
      <c r="F14" s="72" t="n">
        <f aca="false">(($G$4*E14)*((D14+(C14*18.01528))/D14))*1000</f>
        <v>13.2465813660119</v>
      </c>
      <c r="G14" s="44" t="s">
        <v>113</v>
      </c>
      <c r="H14" s="44"/>
      <c r="I14" s="44"/>
      <c r="J14" s="45"/>
      <c r="W14" s="0" t="s">
        <v>81</v>
      </c>
      <c r="Y14" s="0" t="n">
        <v>35.453</v>
      </c>
    </row>
    <row r="15" customFormat="false" ht="13.8" hidden="false" customHeight="false" outlineLevel="0" collapsed="false">
      <c r="A15" s="71" t="s">
        <v>117</v>
      </c>
      <c r="B15" s="44" t="s">
        <v>118</v>
      </c>
      <c r="C15" s="44" t="n">
        <v>7</v>
      </c>
      <c r="D15" s="44" t="n">
        <v>154.75</v>
      </c>
      <c r="E15" s="44" t="n">
        <v>0.01</v>
      </c>
      <c r="F15" s="72" t="n">
        <f aca="false">(($G$4*E15)*((D15+(C15*18.01528))/D15))*1000</f>
        <v>18.1490765751212</v>
      </c>
      <c r="G15" s="44" t="s">
        <v>113</v>
      </c>
      <c r="H15" s="44"/>
      <c r="I15" s="44"/>
      <c r="J15" s="45"/>
      <c r="L15" s="80" t="s">
        <v>119</v>
      </c>
      <c r="M15" s="80" t="n">
        <f aca="false">M12/Q12</f>
        <v>18.8681654821726</v>
      </c>
      <c r="W15" s="0" t="s">
        <v>82</v>
      </c>
      <c r="Y15" s="0" t="n">
        <v>189.1</v>
      </c>
    </row>
    <row r="16" customFormat="false" ht="13.8" hidden="false" customHeight="false" outlineLevel="0" collapsed="false">
      <c r="A16" s="71" t="s">
        <v>120</v>
      </c>
      <c r="B16" s="44" t="s">
        <v>121</v>
      </c>
      <c r="C16" s="44" t="n">
        <v>5</v>
      </c>
      <c r="D16" s="44" t="n">
        <v>159.609</v>
      </c>
      <c r="E16" s="44" t="n">
        <v>0.01</v>
      </c>
      <c r="F16" s="72" t="n">
        <f aca="false">(($G$4*E16)*((D16+(C16*18.01528))/D16))*1000</f>
        <v>15.6435664655502</v>
      </c>
      <c r="G16" s="44" t="s">
        <v>113</v>
      </c>
      <c r="H16" s="44"/>
      <c r="I16" s="44"/>
      <c r="J16" s="45"/>
      <c r="L16" s="80" t="s">
        <v>122</v>
      </c>
      <c r="M16" s="80" t="n">
        <f aca="false">M12/R12</f>
        <v>3.61972510159788</v>
      </c>
    </row>
    <row r="17" customFormat="false" ht="13.8" hidden="false" customHeight="false" outlineLevel="0" collapsed="false">
      <c r="A17" s="75" t="s">
        <v>123</v>
      </c>
      <c r="B17" s="75"/>
      <c r="C17" s="75"/>
      <c r="D17" s="75"/>
      <c r="E17" s="81" t="n">
        <f aca="false">($G$4*0.1)*1000</f>
        <v>100</v>
      </c>
      <c r="F17" s="77" t="s">
        <v>124</v>
      </c>
      <c r="G17" s="45" t="s">
        <v>100</v>
      </c>
      <c r="H17" s="45"/>
      <c r="I17" s="45"/>
      <c r="J17" s="45"/>
      <c r="L17" s="80" t="s">
        <v>125</v>
      </c>
      <c r="M17" s="80" t="n">
        <f aca="false">M12/S12</f>
        <v>16.4840625890627</v>
      </c>
      <c r="W17" s="0" t="s">
        <v>102</v>
      </c>
      <c r="Y17" s="0" t="n">
        <v>12.0107</v>
      </c>
    </row>
    <row r="18" customFormat="false" ht="13.8" hidden="false" customHeight="false" outlineLevel="0" collapsed="false">
      <c r="A18" s="82" t="s">
        <v>126</v>
      </c>
      <c r="B18" s="83" t="s">
        <v>127</v>
      </c>
      <c r="C18" s="83" t="n">
        <v>0</v>
      </c>
      <c r="D18" s="83" t="n">
        <v>180.16</v>
      </c>
      <c r="E18" s="83" t="n">
        <v>10</v>
      </c>
      <c r="F18" s="72" t="n">
        <f aca="false">$G$4*E18</f>
        <v>10</v>
      </c>
      <c r="G18" s="83" t="s">
        <v>86</v>
      </c>
      <c r="H18" s="84"/>
      <c r="I18" s="84"/>
      <c r="J18" s="84"/>
      <c r="W18" s="0" t="s">
        <v>103</v>
      </c>
      <c r="Y18" s="0" t="n">
        <v>1.00784</v>
      </c>
    </row>
    <row r="19" customFormat="false" ht="13.8" hidden="false" customHeight="false" outlineLevel="0" collapsed="false">
      <c r="A19" s="85" t="s">
        <v>123</v>
      </c>
      <c r="B19" s="85"/>
      <c r="C19" s="85"/>
      <c r="D19" s="85"/>
      <c r="E19" s="86" t="n">
        <f aca="false">($G$4*0.1)*1000</f>
        <v>100</v>
      </c>
      <c r="F19" s="87" t="s">
        <v>124</v>
      </c>
      <c r="G19" s="88" t="s">
        <v>100</v>
      </c>
      <c r="H19" s="88"/>
      <c r="I19" s="88"/>
      <c r="J19" s="88"/>
      <c r="W19" s="0" t="s">
        <v>104</v>
      </c>
      <c r="Y19" s="0" t="n">
        <v>15.999</v>
      </c>
    </row>
    <row r="20" customFormat="false" ht="13.8" hidden="false" customHeight="false" outlineLevel="0" collapsed="false">
      <c r="A20" s="28"/>
      <c r="B20" s="8"/>
      <c r="C20" s="8"/>
      <c r="D20" s="8"/>
      <c r="E20" s="8"/>
      <c r="F20" s="89"/>
      <c r="G20" s="8"/>
      <c r="H20" s="8"/>
      <c r="I20" s="8"/>
      <c r="J20" s="27"/>
      <c r="L20" s="0" t="s">
        <v>13</v>
      </c>
      <c r="W20" s="0" t="s">
        <v>105</v>
      </c>
      <c r="Y20" s="0" t="n">
        <v>14.0067</v>
      </c>
    </row>
    <row r="21" customFormat="false" ht="17.35" hidden="false" customHeight="false" outlineLevel="0" collapsed="false">
      <c r="A21" s="28"/>
      <c r="B21" s="63" t="s">
        <v>128</v>
      </c>
      <c r="C21" s="63"/>
      <c r="D21" s="63"/>
      <c r="E21" s="8"/>
      <c r="F21" s="8" t="s">
        <v>64</v>
      </c>
      <c r="G21" s="64" t="n">
        <v>1</v>
      </c>
      <c r="H21" s="15" t="s">
        <v>9</v>
      </c>
      <c r="I21" s="8"/>
      <c r="J21" s="27"/>
      <c r="W21" s="0" t="s">
        <v>106</v>
      </c>
      <c r="Y21" s="0" t="n">
        <v>30.973761</v>
      </c>
    </row>
    <row r="22" customFormat="false" ht="13.8" hidden="false" customHeight="false" outlineLevel="0" collapsed="false">
      <c r="A22" s="28"/>
      <c r="B22" s="8"/>
      <c r="C22" s="8"/>
      <c r="D22" s="8"/>
      <c r="E22" s="8"/>
      <c r="F22" s="8"/>
      <c r="G22" s="8"/>
      <c r="H22" s="8"/>
      <c r="I22" s="8"/>
      <c r="J22" s="27"/>
      <c r="W22" s="0" t="s">
        <v>107</v>
      </c>
      <c r="Y22" s="0" t="n">
        <v>32.065</v>
      </c>
    </row>
    <row r="23" customFormat="false" ht="13.8" hidden="false" customHeight="false" outlineLevel="0" collapsed="false">
      <c r="A23" s="68" t="s">
        <v>69</v>
      </c>
      <c r="B23" s="69" t="s">
        <v>129</v>
      </c>
      <c r="C23" s="69" t="s">
        <v>71</v>
      </c>
      <c r="D23" s="69" t="s">
        <v>72</v>
      </c>
      <c r="E23" s="69" t="s">
        <v>73</v>
      </c>
      <c r="F23" s="69" t="s">
        <v>74</v>
      </c>
      <c r="G23" s="69" t="s">
        <v>5</v>
      </c>
      <c r="H23" s="69" t="s">
        <v>75</v>
      </c>
      <c r="I23" s="69" t="s">
        <v>50</v>
      </c>
      <c r="J23" s="70" t="s">
        <v>76</v>
      </c>
    </row>
    <row r="24" customFormat="false" ht="13.8" hidden="false" customHeight="false" outlineLevel="0" collapsed="false">
      <c r="A24" s="90"/>
      <c r="B24" s="44"/>
      <c r="C24" s="44"/>
      <c r="D24" s="44"/>
      <c r="E24" s="44"/>
      <c r="F24" s="72" t="n">
        <f aca="false">$G$21*D24</f>
        <v>0</v>
      </c>
      <c r="G24" s="73"/>
      <c r="H24" s="44"/>
      <c r="I24" s="44"/>
      <c r="J24" s="45"/>
    </row>
    <row r="25" customFormat="false" ht="13.8" hidden="false" customHeight="false" outlineLevel="0" collapsed="false">
      <c r="A25" s="91" t="s">
        <v>130</v>
      </c>
      <c r="B25" s="91"/>
      <c r="C25" s="91"/>
      <c r="D25" s="91"/>
      <c r="E25" s="92"/>
      <c r="F25" s="93"/>
      <c r="G25" s="94" t="s">
        <v>100</v>
      </c>
      <c r="H25" s="94"/>
      <c r="I25" s="94"/>
      <c r="J25" s="94"/>
    </row>
  </sheetData>
  <mergeCells count="17">
    <mergeCell ref="M1:N1"/>
    <mergeCell ref="C2:D2"/>
    <mergeCell ref="F2:H2"/>
    <mergeCell ref="B4:D4"/>
    <mergeCell ref="M10:N10"/>
    <mergeCell ref="Q10:R10"/>
    <mergeCell ref="A11:D11"/>
    <mergeCell ref="G11:J11"/>
    <mergeCell ref="H12:J12"/>
    <mergeCell ref="A17:D17"/>
    <mergeCell ref="G17:J17"/>
    <mergeCell ref="H18:J18"/>
    <mergeCell ref="A19:D19"/>
    <mergeCell ref="G19:J19"/>
    <mergeCell ref="B21:D21"/>
    <mergeCell ref="A25:D25"/>
    <mergeCell ref="G25:J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1288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2013-05-08T07:22:18Z</dcterms:created>
  <dc:creator>Nicolas Fierfort</dc:creator>
  <dc:description/>
  <dc:language>en-GB</dc:language>
  <cp:lastModifiedBy/>
  <cp:lastPrinted>2014-01-14T10:27:58Z</cp:lastPrinted>
  <dcterms:modified xsi:type="dcterms:W3CDTF">2020-11-26T20:19:05Z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